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9B62BA50-2D66-4F47-A566-92DB87C191F0}" xr6:coauthVersionLast="47" xr6:coauthVersionMax="47" xr10:uidLastSave="{00000000-0000-0000-0000-000000000000}"/>
  <bookViews>
    <workbookView xWindow="-120" yWindow="-120" windowWidth="29040" windowHeight="15840" firstSheet="2" activeTab="4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D112" i="1"/>
  <c r="D68" i="1"/>
  <c r="D49" i="1"/>
  <c r="F33" i="1" l="1"/>
  <c r="G8" i="1" l="1"/>
  <c r="D25" i="1" l="1"/>
  <c r="H6" i="1"/>
  <c r="H8" i="4" l="1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G27" i="1" l="1"/>
  <c r="J12" i="7"/>
  <c r="J10" i="7"/>
  <c r="I13" i="7"/>
  <c r="H13" i="7"/>
  <c r="H11" i="7"/>
  <c r="F27" i="1"/>
  <c r="F26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7" i="1" l="1"/>
  <c r="J37" i="1" s="1"/>
  <c r="N37" i="1" s="1"/>
  <c r="P37" i="1" s="1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K34" i="2"/>
  <c r="Q2" i="1"/>
  <c r="N25" i="1"/>
  <c r="T25" i="1" s="1"/>
  <c r="M2" i="1"/>
  <c r="N36" i="1"/>
  <c r="O36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H29" i="2"/>
  <c r="K29" i="2" s="1"/>
  <c r="H59" i="3"/>
  <c r="S102" i="1"/>
  <c r="S32" i="1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H20" i="4" l="1"/>
  <c r="S125" i="1"/>
  <c r="Y140" i="1"/>
  <c r="S70" i="1"/>
  <c r="S42" i="1"/>
  <c r="W100" i="1"/>
  <c r="Y100" i="1" s="1"/>
  <c r="U165" i="1"/>
  <c r="Y165" i="1" s="1"/>
  <c r="S86" i="1"/>
  <c r="S104" i="1"/>
  <c r="S144" i="1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P2" i="1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U2" i="1" l="1"/>
  <c r="W2" i="1"/>
  <c r="Z2" i="1"/>
  <c r="S2" i="1"/>
</calcChain>
</file>

<file path=xl/sharedStrings.xml><?xml version="1.0" encoding="utf-8"?>
<sst xmlns="http://schemas.openxmlformats.org/spreadsheetml/2006/main" count="718" uniqueCount="414">
  <si>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</si>
  <si>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</si>
  <si>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</si>
  <si>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</si>
  <si>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</si>
  <si>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</si>
  <si>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</si>
  <si>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</si>
  <si>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</si>
  <si>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</si>
  <si>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</si>
  <si>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</si>
  <si>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</si>
  <si>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</si>
  <si>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</si>
  <si>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</si>
  <si>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</si>
  <si>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</si>
  <si>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</si>
  <si>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</si>
  <si>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</si>
  <si>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</si>
  <si>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</si>
  <si>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</si>
  <si>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</si>
  <si>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</si>
  <si>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</si>
  <si>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</si>
  <si>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</si>
  <si>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</si>
  <si>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</si>
  <si>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</si>
  <si>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</si>
  <si>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</si>
  <si>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</si>
  <si>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</si>
  <si>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</si>
  <si>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</si>
  <si>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</si>
  <si>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</si>
  <si>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</si>
  <si>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</si>
  <si>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</si>
  <si>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</si>
  <si>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</si>
  <si>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</si>
  <si>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</si>
  <si>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</si>
  <si>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</si>
  <si>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</si>
  <si>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</si>
  <si>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</si>
  <si>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</si>
  <si>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</si>
  <si>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</si>
  <si>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</si>
  <si>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</si>
  <si>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</si>
  <si>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</si>
  <si>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</si>
  <si>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</si>
  <si>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</si>
  <si>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</si>
  <si>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</si>
  <si>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</si>
  <si>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</si>
  <si>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</si>
  <si>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</si>
  <si>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</si>
  <si>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</si>
  <si>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</si>
  <si>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</si>
  <si>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</si>
  <si>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</si>
  <si>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</si>
  <si>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</si>
  <si>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</si>
  <si>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</si>
  <si>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</si>
  <si>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</si>
  <si>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</si>
  <si>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</si>
  <si>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</si>
  <si>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</si>
  <si>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</si>
  <si>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</si>
  <si>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</si>
  <si>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</si>
  <si>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</si>
  <si>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</si>
  <si>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</si>
  <si>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</si>
  <si>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</si>
  <si>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</si>
  <si>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</si>
  <si>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</si>
  <si>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</si>
  <si>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</si>
  <si>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</si>
  <si>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</si>
  <si>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</si>
  <si>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</si>
  <si>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</si>
  <si>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</si>
  <si>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</si>
  <si>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</si>
  <si>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</si>
  <si>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</si>
  <si>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</si>
  <si>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</si>
  <si>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</si>
  <si>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</si>
  <si>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</si>
  <si>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</si>
  <si>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</si>
  <si>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</si>
  <si>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</si>
  <si>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</si>
  <si>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</si>
  <si>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</si>
  <si>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</si>
  <si>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</si>
  <si>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</si>
  <si>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</si>
  <si>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</si>
  <si>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</si>
  <si>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</si>
  <si>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</si>
  <si>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</si>
  <si>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</si>
  <si>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</si>
  <si>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</si>
  <si>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</si>
  <si>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</si>
  <si>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</si>
  <si>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</si>
  <si>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</si>
  <si>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</si>
  <si>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</si>
  <si>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</si>
  <si>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</si>
  <si>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</si>
  <si>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</si>
  <si>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</si>
  <si>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</si>
  <si>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</si>
  <si>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</si>
  <si>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</si>
  <si>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</si>
  <si>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</si>
  <si>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</si>
  <si>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</si>
  <si>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</si>
  <si>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</si>
  <si>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</si>
  <si>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</si>
  <si>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</si>
  <si>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</si>
  <si>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</si>
  <si>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</si>
  <si>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</si>
  <si>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</si>
  <si>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</si>
  <si>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</si>
  <si>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</si>
  <si>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</si>
  <si>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</si>
  <si>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</si>
  <si>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</si>
  <si>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</si>
  <si>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</si>
  <si>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</si>
  <si>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</si>
  <si>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</si>
  <si>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</si>
  <si>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</si>
  <si>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</si>
  <si>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</si>
  <si>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</si>
  <si>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</si>
  <si>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</si>
  <si>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</si>
  <si>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</si>
  <si>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</si>
  <si>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</si>
  <si>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</si>
  <si>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</si>
  <si>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</si>
  <si>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</si>
  <si>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</si>
  <si>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</si>
  <si>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</si>
  <si>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</si>
  <si>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</si>
  <si>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</si>
  <si>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</si>
  <si>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</si>
  <si>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</si>
  <si>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</si>
  <si>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</si>
  <si>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</si>
  <si>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</si>
  <si>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</si>
  <si>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</si>
  <si>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</si>
  <si>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</si>
  <si>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</si>
  <si>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</si>
  <si>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</si>
  <si>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</si>
  <si>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</si>
  <si>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</si>
  <si>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</si>
  <si>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</si>
  <si>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</si>
  <si>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</si>
  <si>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</si>
  <si>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</si>
  <si>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</si>
  <si>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</si>
  <si>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</si>
  <si>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</si>
  <si>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</si>
  <si>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</si>
  <si>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</si>
  <si>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</si>
  <si>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</si>
  <si>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</si>
  <si>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</si>
  <si>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</si>
  <si>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</si>
  <si>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</si>
  <si>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</si>
  <si>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</si>
  <si>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</si>
  <si>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</si>
  <si>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</si>
  <si>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</si>
  <si>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</si>
  <si>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</si>
  <si>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</si>
  <si>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</si>
  <si>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</si>
  <si>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</si>
  <si>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</si>
  <si>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</si>
  <si>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</si>
  <si>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</si>
  <si>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</si>
  <si>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</si>
  <si>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</si>
  <si>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</si>
  <si>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</si>
  <si>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</si>
  <si>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</si>
  <si>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</si>
  <si>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</si>
  <si>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</si>
  <si>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</si>
  <si>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</si>
  <si>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</si>
  <si>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</si>
  <si>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</si>
  <si>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</si>
  <si>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</si>
  <si>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</si>
  <si>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</si>
  <si>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</si>
  <si>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</si>
  <si>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</si>
  <si>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</si>
  <si>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</si>
  <si>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</si>
  <si>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</si>
  <si>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</si>
  <si>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</si>
  <si>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</si>
  <si>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</si>
  <si>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</si>
  <si>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</si>
  <si>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</si>
  <si>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</si>
  <si>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</si>
  <si>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</si>
  <si>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</si>
  <si>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</si>
  <si>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</si>
  <si>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</si>
  <si>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</si>
  <si>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</si>
  <si>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</si>
  <si>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</si>
  <si>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</si>
  <si>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</si>
  <si>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</si>
  <si>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</si>
  <si>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</si>
  <si>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</si>
  <si>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</si>
  <si>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</si>
  <si>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</si>
  <si>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</si>
  <si>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</si>
  <si>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</si>
  <si>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</si>
  <si>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</si>
  <si>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</si>
  <si>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</si>
  <si>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</si>
  <si>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</si>
  <si>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</si>
  <si>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</si>
  <si>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</si>
  <si>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</si>
  <si>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</si>
  <si>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</si>
  <si>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</si>
  <si>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</si>
  <si>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</si>
  <si>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</si>
  <si>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</si>
  <si>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</si>
  <si>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</si>
  <si>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</si>
  <si>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</si>
  <si>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</si>
  <si>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</si>
  <si>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</si>
  <si>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</si>
  <si>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</si>
  <si>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</si>
  <si>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</si>
  <si>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</si>
  <si>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</si>
  <si>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</si>
  <si>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</si>
  <si>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</si>
  <si>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</si>
  <si>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</si>
  <si>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</si>
  <si>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</si>
  <si>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</si>
  <si>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</si>
  <si>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</si>
  <si>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</si>
  <si>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</si>
  <si>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</si>
  <si>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</si>
  <si>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</si>
  <si>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</si>
  <si>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</si>
  <si>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</si>
  <si>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</si>
  <si>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</si>
  <si>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</si>
  <si>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</si>
  <si>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</si>
  <si>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</si>
  <si>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</si>
  <si>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</si>
  <si>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</si>
  <si>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</si>
  <si>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</si>
  <si>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</si>
  <si>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</si>
  <si>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</si>
  <si>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</si>
  <si>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</si>
  <si>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</si>
  <si>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</si>
  <si>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</si>
  <si>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</si>
  <si>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</si>
  <si>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</si>
  <si>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</si>
  <si>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</si>
  <si>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</si>
  <si>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</si>
  <si>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</si>
  <si>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</si>
  <si>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</si>
  <si>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</si>
  <si>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</si>
  <si>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</si>
  <si>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</si>
  <si>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</si>
  <si>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</si>
  <si>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</si>
  <si>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</si>
  <si>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</si>
  <si>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</si>
  <si>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</si>
  <si>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</si>
  <si>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</si>
  <si>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</si>
  <si>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</si>
  <si>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</si>
  <si>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</si>
  <si>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</si>
  <si>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</si>
  <si>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</si>
  <si>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</si>
  <si>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</si>
  <si>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</si>
  <si>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</si>
  <si>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</si>
  <si>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Cuenta de Disponibilidad Fondo 7374 Arabia Saudita</t>
  </si>
  <si>
    <t>Saldo al 31 de diciembre de 2024</t>
  </si>
  <si>
    <t>Saldo al 31 de Diciembre de 2023</t>
  </si>
  <si>
    <t>Correspondiente al 28 del mes de Febrero del año 2025</t>
  </si>
  <si>
    <t>Correspondienteal 28 del mes de Febrero del 2025</t>
  </si>
  <si>
    <t>al 28 del mes de febrero de 2025</t>
  </si>
  <si>
    <t>Cuenta Eliminada</t>
  </si>
  <si>
    <t>Saldo al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</si>
</sst>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200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2" fontId="29" fillId="0" borderId="8" xfId="1" applyNumberFormat="1" applyFont="1" applyBorder="1" applyAlignment="1">
      <alignment vertical="center"/>
    </xf>
    <xf numFmtId="42" fontId="27" fillId="0" borderId="8" xfId="1" applyNumberFormat="1" applyFont="1" applyBorder="1" applyAlignment="1">
      <alignment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2025\Febrero%202025\Ejecuci&#243;n%20febrero%202025.xlsx" TargetMode="External"/><Relationship Id="rId1" Type="http://schemas.openxmlformats.org/officeDocument/2006/relationships/externalLinkPath" Target="/Users/reynaldo.javier/Desktop/Informes%20Financieros%202025/Febrero%202025/Ejecuci&#243;n%20febrero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B12">
            <v>11331545.450000001</v>
          </cell>
        </row>
        <row r="18">
          <cell r="B18">
            <v>1980013.5</v>
          </cell>
        </row>
        <row r="28">
          <cell r="B28">
            <v>1392100.22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5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5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5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4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4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4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4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4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4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4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4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4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4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4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4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4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4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4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4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4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4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4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4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4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4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4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4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4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4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4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4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4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4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4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4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4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4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4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4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4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4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4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4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4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4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4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4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4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10053539.82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62" activePane="bottomLeft" state="frozen"/>
      <selection pane="bottomLeft" activeCell="D169" sqref="D169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 t="e">
        <f>SUM(J13:J168)</f>
        <v>#VALUE!</v>
      </c>
      <c r="K2" s="7">
        <f t="shared" ref="K2:Q2" si="0">SUM(K13:K172)</f>
        <v>0</v>
      </c>
      <c r="L2" s="7">
        <f t="shared" si="0"/>
        <v>0</v>
      </c>
      <c r="M2" s="7">
        <f t="shared" si="0"/>
        <v>279827939.73999995</v>
      </c>
      <c r="N2" s="7" t="e">
        <f t="shared" si="0"/>
        <v>#VALUE!</v>
      </c>
      <c r="O2" s="7" t="e">
        <f t="shared" si="0"/>
        <v>#VALUE!</v>
      </c>
      <c r="P2" s="7">
        <f t="shared" si="0"/>
        <v>-36788204.539999992</v>
      </c>
      <c r="Q2" s="7">
        <f t="shared" si="0"/>
        <v>0</v>
      </c>
      <c r="S2" s="7" t="e">
        <f>SUM(N2:R2)</f>
        <v>#VALUE!</v>
      </c>
      <c r="T2" s="7"/>
      <c r="U2" s="10">
        <f>SUM(U13:U172)</f>
        <v>11331545.450000001</v>
      </c>
      <c r="V2" s="10">
        <f>SUM(V13:V172)</f>
        <v>0</v>
      </c>
      <c r="W2" s="10">
        <f>SUM(W13:W172)</f>
        <v>-587913.28</v>
      </c>
      <c r="X2" s="7">
        <f>SUM(X13:X172)</f>
        <v>0</v>
      </c>
      <c r="Z2" s="7" t="e">
        <f>+O2+P2-N2</f>
        <v>#VALUE!</v>
      </c>
    </row>
    <row r="3" spans="1:30" hidden="1" x14ac:dyDescent="0.25">
      <c r="C3" s="6"/>
      <c r="D3" s="11">
        <f>+SUBTOTAL(9,D13:D173)</f>
        <v>172530948.51999992</v>
      </c>
      <c r="E3" s="6"/>
      <c r="F3" s="11">
        <f>+SUBTOTAL(9,F13:F173)</f>
        <v>180387447.36999995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8" t="s">
        <v>2</v>
      </c>
      <c r="D5" s="188"/>
      <c r="E5" s="188"/>
      <c r="F5" s="188"/>
      <c r="G5" s="13"/>
      <c r="I5" s="188" t="s">
        <v>2</v>
      </c>
      <c r="J5" s="188"/>
      <c r="K5" s="188"/>
      <c r="L5" s="188"/>
      <c r="O5" s="7"/>
      <c r="S5" s="189" t="s">
        <v>3</v>
      </c>
    </row>
    <row r="6" spans="1:30" ht="15.75" x14ac:dyDescent="0.25">
      <c r="B6" s="12"/>
      <c r="C6" s="188" t="s">
        <v>4</v>
      </c>
      <c r="D6" s="188"/>
      <c r="E6" s="188"/>
      <c r="F6" s="188"/>
      <c r="G6" s="14">
        <v>184516606.18000001</v>
      </c>
      <c r="H6" s="7">
        <f>+G6+D26</f>
        <v>-4322064.0499999821</v>
      </c>
      <c r="I6" s="188" t="s">
        <v>5</v>
      </c>
      <c r="J6" s="188"/>
      <c r="K6" s="188"/>
      <c r="L6" s="188"/>
      <c r="M6" s="7"/>
      <c r="P6" s="7"/>
      <c r="S6" s="189"/>
    </row>
    <row r="7" spans="1:30" ht="15.75" x14ac:dyDescent="0.25">
      <c r="B7" s="12"/>
      <c r="C7" s="188" t="s">
        <v>411</v>
      </c>
      <c r="D7" s="188"/>
      <c r="E7" s="188"/>
      <c r="F7" s="188"/>
      <c r="G7" s="15">
        <v>-183039201.93000001</v>
      </c>
      <c r="H7" s="16"/>
      <c r="I7" s="188" t="s">
        <v>6</v>
      </c>
      <c r="J7" s="188"/>
      <c r="K7" s="188"/>
      <c r="L7" s="188"/>
      <c r="S7" s="189"/>
    </row>
    <row r="8" spans="1:30" ht="15.75" x14ac:dyDescent="0.25">
      <c r="B8" s="12"/>
      <c r="C8" s="188" t="s">
        <v>7</v>
      </c>
      <c r="D8" s="188"/>
      <c r="E8" s="188"/>
      <c r="F8" s="188"/>
      <c r="G8" s="15">
        <f>+G6+G7</f>
        <v>1477404.25</v>
      </c>
      <c r="H8" s="16"/>
      <c r="I8" s="188" t="s">
        <v>7</v>
      </c>
      <c r="J8" s="188"/>
      <c r="K8" s="188"/>
      <c r="L8" s="188"/>
      <c r="P8" s="7"/>
      <c r="S8" s="189"/>
      <c r="T8" s="186" t="s">
        <v>8</v>
      </c>
      <c r="U8" s="186"/>
      <c r="V8" s="186"/>
      <c r="W8" s="186"/>
      <c r="X8" s="186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9"/>
    </row>
    <row r="10" spans="1:30" ht="27" customHeight="1" x14ac:dyDescent="0.25">
      <c r="C10" s="9"/>
      <c r="G10" s="13"/>
      <c r="H10" s="16"/>
      <c r="J10" s="9" t="s">
        <v>9</v>
      </c>
      <c r="K10" s="187" t="s">
        <v>10</v>
      </c>
      <c r="L10" s="187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9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2025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44284.95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2614.8000000000002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83" t="s">
        <v>412</v>
      </c>
      <c r="E16" s="7"/>
      <c r="F16" s="32"/>
      <c r="G16" s="15"/>
      <c r="H16" s="3">
        <f>G13+H13</f>
        <v>0</v>
      </c>
      <c r="I16" s="3" t="s">
        <v>42</v>
      </c>
      <c r="J16" s="7" t="e">
        <f>D16+D17+D19+D20</f>
        <v>#VALUE!</v>
      </c>
      <c r="M16" s="7">
        <f>F16+F17+F19+'EFE-Flujo de Efectivo'!P62</f>
        <v>0</v>
      </c>
      <c r="N16" s="8" t="e">
        <f>+J16+K16-L16-M16</f>
        <v>#VALUE!</v>
      </c>
      <c r="O16" s="7" t="e">
        <f>-N16</f>
        <v>#VALUE!</v>
      </c>
      <c r="P16" s="7"/>
      <c r="Q16" s="7"/>
      <c r="R16" s="7"/>
      <c r="S16" s="7" t="e">
        <f t="shared" si="1"/>
        <v>#VALUE!</v>
      </c>
      <c r="T16" s="30" t="e">
        <f t="shared" si="2"/>
        <v>#VALUE!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14297598.130000001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9852969.3000000007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406</v>
      </c>
      <c r="D21" s="16">
        <v>3252025.38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46</v>
      </c>
      <c r="D22" s="16"/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</v>
      </c>
      <c r="M22" s="7"/>
      <c r="N22" s="8">
        <f t="shared" si="3"/>
        <v>0</v>
      </c>
      <c r="O22" s="7">
        <f>-N22</f>
        <v>0</v>
      </c>
      <c r="P22" s="7"/>
      <c r="Q22" s="7"/>
      <c r="S22" s="7">
        <f t="shared" si="1"/>
        <v>0</v>
      </c>
      <c r="T22" s="30">
        <f t="shared" si="2"/>
        <v>0</v>
      </c>
      <c r="Y22" s="7"/>
    </row>
    <row r="23" spans="1:25" x14ac:dyDescent="0.25">
      <c r="A23" s="1" t="s">
        <v>47</v>
      </c>
      <c r="C23" s="3" t="s">
        <v>48</v>
      </c>
      <c r="D23" s="16">
        <v>4399266.72</v>
      </c>
      <c r="E23" s="7"/>
      <c r="F23" s="32"/>
      <c r="G23" s="15"/>
      <c r="H23" s="3" t="s">
        <v>49</v>
      </c>
      <c r="I23" s="3" t="str">
        <f>+C23</f>
        <v>Material gastable</v>
      </c>
      <c r="J23" s="7">
        <f>D23</f>
        <v>4399266.72</v>
      </c>
      <c r="M23" s="7">
        <f>F23</f>
        <v>0</v>
      </c>
      <c r="N23" s="8">
        <f t="shared" si="3"/>
        <v>4399266.72</v>
      </c>
      <c r="O23" s="7">
        <f>-N23</f>
        <v>-4399266.72</v>
      </c>
      <c r="P23" s="7"/>
      <c r="Q23" s="7"/>
      <c r="S23" s="7">
        <f>SUM(N23:R23)</f>
        <v>0</v>
      </c>
      <c r="T23" s="30">
        <f t="shared" si="2"/>
        <v>-4399266.72</v>
      </c>
      <c r="W23" s="7"/>
      <c r="Y23" s="7"/>
    </row>
    <row r="24" spans="1:25" x14ac:dyDescent="0.25">
      <c r="A24" s="1" t="s">
        <v>50</v>
      </c>
      <c r="C24" s="3" t="s">
        <v>51</v>
      </c>
      <c r="D24" s="16"/>
      <c r="E24" s="7"/>
      <c r="F24" s="7">
        <f>+D26-H6</f>
        <v>-184516606.18000001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52</v>
      </c>
      <c r="C25" s="3" t="s">
        <v>53</v>
      </c>
      <c r="D25" s="34">
        <f>258236993.91+14758688.43</f>
        <v>272995682.33999997</v>
      </c>
      <c r="E25" s="7"/>
      <c r="F25" s="7">
        <v>3653530.2</v>
      </c>
      <c r="G25" s="14">
        <v>642444</v>
      </c>
      <c r="H25" s="3" t="s">
        <v>54</v>
      </c>
      <c r="I25" s="3" t="str">
        <f>+C25</f>
        <v>Mobiliarios y equipos de oficina</v>
      </c>
      <c r="J25" s="7">
        <f>D25</f>
        <v>272995682.33999997</v>
      </c>
      <c r="K25" s="8"/>
      <c r="M25" s="7">
        <f>F25</f>
        <v>3653530.2</v>
      </c>
      <c r="N25" s="8">
        <f t="shared" si="3"/>
        <v>269342152.13999999</v>
      </c>
      <c r="O25" s="7">
        <f>-N25</f>
        <v>-269342152.13999999</v>
      </c>
      <c r="P25" s="7"/>
      <c r="Q25" s="7"/>
      <c r="S25" s="7"/>
      <c r="T25" s="30">
        <f t="shared" si="2"/>
        <v>-269342152.13999999</v>
      </c>
      <c r="Y25" s="7">
        <f>SUM(T25:X25)-O25</f>
        <v>0</v>
      </c>
    </row>
    <row r="26" spans="1:25" x14ac:dyDescent="0.25">
      <c r="A26" s="1" t="s">
        <v>52</v>
      </c>
      <c r="C26" s="3" t="s">
        <v>55</v>
      </c>
      <c r="D26" s="35">
        <v>-188838670.22999999</v>
      </c>
      <c r="E26" s="7"/>
      <c r="F26" s="7">
        <f>D25+F25</f>
        <v>276649212.53999996</v>
      </c>
      <c r="G26" s="14"/>
      <c r="I26" s="3" t="str">
        <f>+C26</f>
        <v>Depreciación acumulada</v>
      </c>
      <c r="J26" s="7">
        <f>D26</f>
        <v>-188838670.22999999</v>
      </c>
      <c r="K26" s="36"/>
      <c r="L26" s="8"/>
      <c r="M26" s="7">
        <f>F26</f>
        <v>276649212.53999996</v>
      </c>
      <c r="N26" s="8">
        <f t="shared" si="3"/>
        <v>-465487882.76999998</v>
      </c>
      <c r="O26" s="7">
        <f>-N26</f>
        <v>465487882.76999998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465487882.76999998</v>
      </c>
      <c r="Y26" s="7">
        <f>SUM(T26:X26)-O26</f>
        <v>0</v>
      </c>
    </row>
    <row r="27" spans="1:25" x14ac:dyDescent="0.25">
      <c r="A27" s="1" t="s">
        <v>56</v>
      </c>
      <c r="C27" s="3" t="s">
        <v>57</v>
      </c>
      <c r="D27" s="16"/>
      <c r="E27" s="7"/>
      <c r="F27" s="7">
        <f>D25+D26</f>
        <v>84157012.109999985</v>
      </c>
      <c r="G27" s="14">
        <f>D25+G25</f>
        <v>273638126.33999997</v>
      </c>
      <c r="H27" s="3" t="s">
        <v>54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56</v>
      </c>
      <c r="C28" s="3" t="s">
        <v>58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59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60</v>
      </c>
      <c r="C31" s="3" t="s">
        <v>61</v>
      </c>
      <c r="D31" s="32">
        <v>-13314394.5</v>
      </c>
      <c r="E31" s="7"/>
      <c r="F31" s="7">
        <v>-11393773</v>
      </c>
      <c r="G31" s="14">
        <f>F31-'[3]EFE-Flujo de Efectivo'!C53</f>
        <v>-5617877.4699999997</v>
      </c>
      <c r="H31" s="3" t="s">
        <v>49</v>
      </c>
      <c r="I31" s="3" t="str">
        <f>+C31</f>
        <v>Cuentas por pagar</v>
      </c>
      <c r="J31" s="7">
        <f>+D31</f>
        <v>-13314394.5</v>
      </c>
      <c r="K31" s="7"/>
      <c r="L31" s="7"/>
      <c r="M31" s="7"/>
      <c r="N31" s="8">
        <f t="shared" si="3"/>
        <v>-13314394.5</v>
      </c>
      <c r="O31" s="7">
        <f>-N31</f>
        <v>13314394.5</v>
      </c>
      <c r="P31" s="7">
        <f t="shared" si="4"/>
        <v>13314394.5</v>
      </c>
      <c r="S31" s="7">
        <f>SUM(N31:R31)</f>
        <v>13314394.5</v>
      </c>
      <c r="T31" s="30">
        <f t="shared" si="2"/>
        <v>13314394.5</v>
      </c>
      <c r="W31" s="7"/>
      <c r="Y31" s="7">
        <f>SUM(T31:X31)-O31</f>
        <v>0</v>
      </c>
    </row>
    <row r="32" spans="1:25" x14ac:dyDescent="0.25">
      <c r="A32" s="1" t="s">
        <v>62</v>
      </c>
      <c r="C32" s="3" t="s">
        <v>63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64</v>
      </c>
      <c r="D33" s="16"/>
      <c r="E33" s="7"/>
      <c r="F33" s="7">
        <f>+D33+D32</f>
        <v>-410770.97</v>
      </c>
      <c r="G33" s="14">
        <f>D33-F33</f>
        <v>410770.97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65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66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67</v>
      </c>
      <c r="C36" s="3" t="s">
        <v>68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69</v>
      </c>
      <c r="C37" s="3" t="s">
        <v>70</v>
      </c>
      <c r="D37" s="16">
        <f>'ECANP-Cambio Patrimonio'!G19</f>
        <v>1726062.3599999957</v>
      </c>
      <c r="E37" s="30"/>
      <c r="F37" s="8"/>
      <c r="G37" s="13"/>
      <c r="I37" s="3" t="str">
        <f>+C37</f>
        <v>Resultado del período</v>
      </c>
      <c r="J37" s="7">
        <f>D37</f>
        <v>1726062.3599999957</v>
      </c>
      <c r="K37" s="7"/>
      <c r="L37" s="7"/>
      <c r="M37" s="7">
        <f>F37</f>
        <v>0</v>
      </c>
      <c r="N37" s="8">
        <f>+J37+K37-L37-M37</f>
        <v>1726062.3599999957</v>
      </c>
      <c r="O37" s="7">
        <f>-N37</f>
        <v>-1726062.3599999957</v>
      </c>
      <c r="P37" s="7">
        <f t="shared" si="4"/>
        <v>-1726062.3599999957</v>
      </c>
      <c r="S37" s="7">
        <f t="shared" si="1"/>
        <v>-1726062.3599999957</v>
      </c>
      <c r="T37" s="30">
        <f t="shared" si="2"/>
        <v>-1726062.3599999957</v>
      </c>
      <c r="Y37" s="7"/>
    </row>
    <row r="38" spans="1:25" s="40" customFormat="1" ht="15.6" customHeight="1" x14ac:dyDescent="0.25">
      <c r="A38" s="39"/>
      <c r="B38" s="2"/>
      <c r="C38" s="40" t="s">
        <v>71</v>
      </c>
      <c r="D38" s="41"/>
      <c r="E38" s="42"/>
      <c r="F38" s="42"/>
      <c r="G38" s="43"/>
      <c r="I38" s="3" t="str">
        <f>+C38</f>
        <v>Ajustes</v>
      </c>
      <c r="J38" s="7">
        <f>D41</f>
        <v>-450000</v>
      </c>
      <c r="K38" s="17"/>
      <c r="M38" s="17"/>
      <c r="N38" s="8">
        <f t="shared" si="3"/>
        <v>-450000</v>
      </c>
      <c r="O38" s="7">
        <f>-N38</f>
        <v>450000</v>
      </c>
      <c r="P38" s="7">
        <f t="shared" si="4"/>
        <v>450000</v>
      </c>
      <c r="Q38" s="3"/>
      <c r="S38" s="7">
        <f t="shared" si="1"/>
        <v>450000</v>
      </c>
      <c r="T38" s="30">
        <f t="shared" si="2"/>
        <v>450000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-18068248.559999999</v>
      </c>
      <c r="K39" s="17"/>
      <c r="M39" s="17"/>
      <c r="N39" s="8">
        <f t="shared" si="3"/>
        <v>-18068248.559999999</v>
      </c>
      <c r="O39" s="17"/>
      <c r="P39" s="7">
        <f t="shared" si="4"/>
        <v>18068248.559999999</v>
      </c>
      <c r="Q39" s="3"/>
      <c r="S39" s="7">
        <f>SUM(N39:R39)</f>
        <v>0</v>
      </c>
      <c r="T39" s="30">
        <f t="shared" si="2"/>
        <v>18068248.559999999</v>
      </c>
      <c r="Y39" s="17"/>
    </row>
    <row r="40" spans="1:25" s="40" customFormat="1" x14ac:dyDescent="0.25">
      <c r="A40" s="39" t="s">
        <v>33</v>
      </c>
      <c r="B40" s="2"/>
      <c r="C40" s="27" t="s">
        <v>72</v>
      </c>
      <c r="D40" s="41"/>
      <c r="E40" s="30"/>
      <c r="F40" s="8"/>
      <c r="G40" s="43"/>
      <c r="J40" s="7">
        <f>D44</f>
        <v>-55000</v>
      </c>
      <c r="M40" s="17"/>
      <c r="N40" s="8">
        <f t="shared" si="3"/>
        <v>-55000</v>
      </c>
      <c r="O40" s="17">
        <f>-N40</f>
        <v>55000</v>
      </c>
      <c r="P40" s="7">
        <f t="shared" si="4"/>
        <v>55000</v>
      </c>
      <c r="Q40" s="3"/>
      <c r="S40" s="7">
        <f t="shared" si="1"/>
        <v>55000</v>
      </c>
      <c r="T40" s="30">
        <f t="shared" si="2"/>
        <v>55000</v>
      </c>
      <c r="Y40" s="17">
        <f t="shared" ref="Y40:Y65" si="6">SUM(T40:X40)-O40</f>
        <v>0</v>
      </c>
    </row>
    <row r="41" spans="1:25" s="42" customFormat="1" x14ac:dyDescent="0.25">
      <c r="A41" s="44" t="s">
        <v>73</v>
      </c>
      <c r="B41" s="45"/>
      <c r="C41" s="3" t="s">
        <v>74</v>
      </c>
      <c r="D41" s="46">
        <v>-450000</v>
      </c>
      <c r="E41" s="30">
        <v>-1055000</v>
      </c>
      <c r="F41" s="8"/>
      <c r="G41" s="30"/>
      <c r="I41" s="42" t="s">
        <v>74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75</v>
      </c>
      <c r="B42" s="45"/>
      <c r="C42" s="3" t="s">
        <v>76</v>
      </c>
      <c r="D42" s="46">
        <v>-18068248.559999999</v>
      </c>
      <c r="E42" s="30"/>
      <c r="F42" s="8"/>
      <c r="G42" s="30"/>
      <c r="I42" s="42" t="s">
        <v>76</v>
      </c>
      <c r="J42" s="17">
        <f>D42</f>
        <v>-18068248.559999999</v>
      </c>
      <c r="M42" s="30">
        <f>F42</f>
        <v>0</v>
      </c>
      <c r="N42" s="8">
        <f t="shared" si="3"/>
        <v>-18068248.559999999</v>
      </c>
      <c r="O42" s="30">
        <f>-N42</f>
        <v>18068248.559999999</v>
      </c>
      <c r="P42" s="7">
        <f t="shared" si="4"/>
        <v>18068248.559999999</v>
      </c>
      <c r="Q42" s="3"/>
      <c r="S42" s="7">
        <f t="shared" si="1"/>
        <v>18068248.559999999</v>
      </c>
      <c r="T42" s="30">
        <f>-N42</f>
        <v>18068248.559999999</v>
      </c>
      <c r="Y42" s="30"/>
    </row>
    <row r="43" spans="1:25" s="42" customFormat="1" x14ac:dyDescent="0.25">
      <c r="A43" s="44" t="s">
        <v>75</v>
      </c>
      <c r="B43" s="45"/>
      <c r="C43" s="3" t="s">
        <v>77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78</v>
      </c>
      <c r="B44" s="45"/>
      <c r="C44" s="40" t="s">
        <v>79</v>
      </c>
      <c r="D44" s="46">
        <v>-55000</v>
      </c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80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81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82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83</v>
      </c>
      <c r="B49" s="2" t="s">
        <v>84</v>
      </c>
      <c r="C49" s="51" t="s">
        <v>85</v>
      </c>
      <c r="D49" s="16">
        <f>+'[4]Plantilla Ejecución  '!$B$12</f>
        <v>11331545.450000001</v>
      </c>
      <c r="E49" s="8"/>
      <c r="F49" s="8"/>
      <c r="H49" s="3" t="s">
        <v>49</v>
      </c>
      <c r="I49" s="3" t="str">
        <f t="shared" ref="I49:I54" si="8">+C49</f>
        <v>Sueldos fijos</v>
      </c>
      <c r="J49" s="7">
        <f>D49</f>
        <v>11331545.450000001</v>
      </c>
      <c r="M49" s="7">
        <f>F49</f>
        <v>0</v>
      </c>
      <c r="N49" s="8">
        <f t="shared" si="3"/>
        <v>11331545.450000001</v>
      </c>
      <c r="O49" s="7">
        <f t="shared" ref="O49:O115" si="9">-N49</f>
        <v>-11331545.450000001</v>
      </c>
      <c r="P49" s="7">
        <f t="shared" si="4"/>
        <v>-11331545.450000001</v>
      </c>
      <c r="S49" s="7">
        <f t="shared" si="1"/>
        <v>-11331545.450000001</v>
      </c>
      <c r="T49" s="30">
        <f t="shared" si="7"/>
        <v>-11331545.450000001</v>
      </c>
      <c r="U49" s="7">
        <f>N49</f>
        <v>11331545.450000001</v>
      </c>
      <c r="V49" s="7"/>
      <c r="Y49" s="7">
        <f t="shared" si="6"/>
        <v>11331545.450000001</v>
      </c>
    </row>
    <row r="50" spans="1:25" x14ac:dyDescent="0.25">
      <c r="A50" s="1" t="s">
        <v>83</v>
      </c>
      <c r="B50" s="2" t="s">
        <v>86</v>
      </c>
      <c r="C50" s="51" t="s">
        <v>394</v>
      </c>
      <c r="D50" s="16"/>
      <c r="E50" s="8"/>
      <c r="F50" s="8"/>
      <c r="H50" s="3" t="s">
        <v>49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52</v>
      </c>
      <c r="C51" s="51" t="s">
        <v>395</v>
      </c>
      <c r="D51" s="16"/>
      <c r="E51" s="8"/>
      <c r="F51" s="8"/>
      <c r="H51" s="3" t="s">
        <v>49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2" t="s">
        <v>56</v>
      </c>
      <c r="C52" s="51" t="s">
        <v>87</v>
      </c>
      <c r="D52" s="16">
        <v>0</v>
      </c>
      <c r="E52" s="8"/>
      <c r="F52" s="8"/>
      <c r="H52" s="3" t="s">
        <v>49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52" t="s">
        <v>88</v>
      </c>
      <c r="C53" s="3" t="s">
        <v>89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83</v>
      </c>
      <c r="B54" s="2" t="s">
        <v>90</v>
      </c>
      <c r="C54" s="51" t="s">
        <v>91</v>
      </c>
      <c r="D54" s="16">
        <v>0</v>
      </c>
      <c r="E54" s="8"/>
      <c r="F54" s="8"/>
      <c r="H54" s="3" t="s">
        <v>49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83</v>
      </c>
      <c r="B56" s="2" t="s">
        <v>93</v>
      </c>
      <c r="C56" s="51" t="s">
        <v>94</v>
      </c>
      <c r="D56" s="16">
        <v>0</v>
      </c>
      <c r="E56" s="8"/>
      <c r="F56" s="8"/>
      <c r="H56" s="3" t="s">
        <v>49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83</v>
      </c>
      <c r="C57" s="51" t="s">
        <v>396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83</v>
      </c>
      <c r="B58" s="2" t="s">
        <v>60</v>
      </c>
      <c r="C58" s="51" t="s">
        <v>95</v>
      </c>
      <c r="D58" s="16"/>
      <c r="E58" s="8"/>
      <c r="F58" s="8"/>
      <c r="H58" s="3" t="s">
        <v>49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83</v>
      </c>
      <c r="B59" s="2" t="s">
        <v>96</v>
      </c>
      <c r="C59" s="51" t="s">
        <v>97</v>
      </c>
      <c r="D59" s="16">
        <v>0</v>
      </c>
      <c r="E59" s="8"/>
      <c r="F59" s="8"/>
      <c r="H59" s="3" t="s">
        <v>49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98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83</v>
      </c>
      <c r="B61" s="2" t="s">
        <v>99</v>
      </c>
      <c r="C61" s="51" t="s">
        <v>100</v>
      </c>
      <c r="D61" s="16">
        <v>0</v>
      </c>
      <c r="E61" s="8"/>
      <c r="F61" s="8"/>
      <c r="H61" s="3" t="s">
        <v>49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101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83</v>
      </c>
      <c r="B63" s="2" t="s">
        <v>62</v>
      </c>
      <c r="C63" s="51" t="s">
        <v>102</v>
      </c>
      <c r="D63" s="53"/>
      <c r="E63" s="8"/>
      <c r="F63" s="8"/>
      <c r="H63" s="3" t="s">
        <v>49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103</v>
      </c>
      <c r="D64" s="16"/>
      <c r="E64" s="8"/>
      <c r="F64" s="8"/>
      <c r="H64" s="3" t="s">
        <v>49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83</v>
      </c>
      <c r="C65" s="51" t="s">
        <v>104</v>
      </c>
      <c r="D65" s="16"/>
      <c r="E65" s="8"/>
      <c r="F65" s="8"/>
      <c r="H65" s="3" t="s">
        <v>49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105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106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107</v>
      </c>
      <c r="C68" s="51" t="s">
        <v>108</v>
      </c>
      <c r="D68" s="16">
        <f>+'[4]Plantilla Ejecución  '!$B$18</f>
        <v>1980013.5</v>
      </c>
      <c r="E68" s="8"/>
      <c r="F68" s="8"/>
      <c r="H68" s="3" t="s">
        <v>49</v>
      </c>
      <c r="I68" s="3" t="str">
        <f t="shared" ref="I68:J74" si="15">+C68</f>
        <v>Servicios telefónico de larga distancia</v>
      </c>
      <c r="J68" s="7">
        <f t="shared" si="15"/>
        <v>1980013.5</v>
      </c>
      <c r="M68" s="7">
        <f t="shared" si="10"/>
        <v>0</v>
      </c>
      <c r="N68" s="8">
        <f t="shared" si="3"/>
        <v>1980013.5</v>
      </c>
      <c r="O68" s="7">
        <f t="shared" si="9"/>
        <v>-1980013.5</v>
      </c>
      <c r="P68" s="7">
        <f t="shared" si="4"/>
        <v>-1980013.5</v>
      </c>
      <c r="S68" s="7">
        <f t="shared" si="1"/>
        <v>-1980013.5</v>
      </c>
      <c r="W68" s="7">
        <f>+O68</f>
        <v>-1980013.5</v>
      </c>
      <c r="Y68" s="7">
        <f t="shared" si="14"/>
        <v>0</v>
      </c>
    </row>
    <row r="69" spans="1:25" x14ac:dyDescent="0.25">
      <c r="A69" s="1" t="s">
        <v>107</v>
      </c>
      <c r="C69" s="51" t="s">
        <v>109</v>
      </c>
      <c r="D69" s="16"/>
      <c r="E69" s="8"/>
      <c r="F69" s="8"/>
      <c r="H69" s="3" t="s">
        <v>49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110</v>
      </c>
      <c r="D70" s="16"/>
      <c r="E70" s="8"/>
      <c r="F70" s="8"/>
      <c r="H70" s="3" t="s">
        <v>49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111</v>
      </c>
      <c r="D71" s="16"/>
      <c r="E71" s="8"/>
      <c r="F71" s="8"/>
      <c r="H71" s="3" t="s">
        <v>49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112</v>
      </c>
      <c r="D72" s="16"/>
      <c r="E72" s="8"/>
      <c r="F72" s="8"/>
      <c r="H72" s="3" t="s">
        <v>49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107</v>
      </c>
      <c r="C73" s="51" t="s">
        <v>399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107</v>
      </c>
      <c r="C74" s="51" t="s">
        <v>400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113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107</v>
      </c>
      <c r="C76" s="51" t="s">
        <v>114</v>
      </c>
      <c r="D76" s="16"/>
      <c r="E76" s="8"/>
      <c r="F76" s="8"/>
      <c r="H76" s="3" t="s">
        <v>49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107</v>
      </c>
      <c r="C77" s="51" t="s">
        <v>115</v>
      </c>
      <c r="D77" s="16"/>
      <c r="E77" s="8"/>
      <c r="F77" s="8"/>
      <c r="H77" s="3" t="s">
        <v>49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116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107</v>
      </c>
      <c r="C79" s="51" t="s">
        <v>117</v>
      </c>
      <c r="D79" s="16"/>
      <c r="E79" s="8"/>
      <c r="F79" s="8"/>
      <c r="H79" s="3" t="s">
        <v>49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107</v>
      </c>
      <c r="C80" s="51" t="s">
        <v>118</v>
      </c>
      <c r="D80" s="16"/>
      <c r="E80" s="8"/>
      <c r="F80" s="8"/>
      <c r="H80" s="3" t="s">
        <v>49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119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107</v>
      </c>
      <c r="C82" s="3" t="s">
        <v>120</v>
      </c>
      <c r="D82" s="16"/>
      <c r="E82" s="8"/>
      <c r="F82" s="8"/>
      <c r="H82" s="3" t="s">
        <v>49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107</v>
      </c>
      <c r="C83" s="3" t="s">
        <v>121</v>
      </c>
      <c r="D83" s="16"/>
      <c r="E83" s="8"/>
      <c r="F83" s="8"/>
      <c r="H83" s="3" t="s">
        <v>49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122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107</v>
      </c>
      <c r="C85" s="51" t="s">
        <v>123</v>
      </c>
      <c r="D85" s="16"/>
      <c r="E85" s="8"/>
      <c r="F85" s="8"/>
      <c r="H85" s="3" t="s">
        <v>49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B86" s="54" t="s">
        <v>124</v>
      </c>
      <c r="C86" s="3" t="s">
        <v>125</v>
      </c>
      <c r="D86" s="16"/>
      <c r="E86" s="8"/>
      <c r="F86" s="8"/>
      <c r="H86" s="3" t="s">
        <v>49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107</v>
      </c>
      <c r="C87" s="51" t="s">
        <v>126</v>
      </c>
      <c r="D87" s="16"/>
      <c r="E87" s="8"/>
      <c r="F87" s="8"/>
      <c r="H87" s="3" t="s">
        <v>49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127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107</v>
      </c>
      <c r="C89" s="51" t="s">
        <v>128</v>
      </c>
      <c r="D89" s="16"/>
      <c r="E89" s="8"/>
      <c r="F89" s="8"/>
      <c r="H89" s="3" t="s">
        <v>49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107</v>
      </c>
      <c r="B90" s="54" t="s">
        <v>129</v>
      </c>
      <c r="C90" s="3" t="s">
        <v>130</v>
      </c>
      <c r="D90" s="16"/>
      <c r="E90" s="8"/>
      <c r="F90" s="8"/>
      <c r="H90" s="3" t="s">
        <v>49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131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107</v>
      </c>
      <c r="C92" s="51" t="s">
        <v>132</v>
      </c>
      <c r="D92" s="16"/>
      <c r="E92" s="8"/>
      <c r="F92" s="8"/>
      <c r="H92" s="3" t="s">
        <v>49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107</v>
      </c>
      <c r="B93" s="52" t="s">
        <v>133</v>
      </c>
      <c r="C93" s="3" t="s">
        <v>134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B94" s="55"/>
      <c r="C94" s="3" t="s">
        <v>135</v>
      </c>
      <c r="D94" s="16"/>
      <c r="E94" s="8"/>
      <c r="F94" s="8"/>
      <c r="H94" s="3" t="s">
        <v>49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C95" s="51" t="s">
        <v>136</v>
      </c>
      <c r="D95" s="16"/>
      <c r="E95" s="8"/>
      <c r="F95" s="8"/>
      <c r="H95" s="3" t="s">
        <v>49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B96" s="54" t="s">
        <v>137</v>
      </c>
      <c r="C96" s="3" t="s">
        <v>138</v>
      </c>
      <c r="D96" s="16"/>
      <c r="E96" s="8"/>
      <c r="F96" s="8"/>
      <c r="H96" s="3" t="s">
        <v>49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107</v>
      </c>
      <c r="C97" s="51" t="s">
        <v>139</v>
      </c>
      <c r="D97" s="16"/>
      <c r="E97" s="8"/>
      <c r="F97" s="8"/>
      <c r="H97" s="3" t="s">
        <v>49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140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107</v>
      </c>
      <c r="C99" s="51" t="s">
        <v>141</v>
      </c>
      <c r="D99" s="16"/>
      <c r="E99" s="8"/>
      <c r="F99" s="8"/>
      <c r="H99" s="3" t="s">
        <v>49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107</v>
      </c>
      <c r="B100" s="54" t="s">
        <v>142</v>
      </c>
      <c r="C100" s="3" t="s">
        <v>143</v>
      </c>
      <c r="D100" s="16"/>
      <c r="E100" s="8"/>
      <c r="F100" s="8"/>
      <c r="H100" s="3" t="s">
        <v>49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C101" s="51" t="s">
        <v>144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146</v>
      </c>
      <c r="D102" s="16"/>
      <c r="E102" s="8"/>
      <c r="F102" s="8"/>
      <c r="H102" s="3" t="s">
        <v>49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B103" s="2" t="s">
        <v>145</v>
      </c>
      <c r="C103" s="51" t="s">
        <v>147</v>
      </c>
      <c r="D103" s="16"/>
      <c r="E103" s="8"/>
      <c r="F103" s="8"/>
      <c r="H103" s="3" t="s">
        <v>49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148</v>
      </c>
      <c r="D104" s="16"/>
      <c r="E104" s="8"/>
      <c r="F104" s="8"/>
      <c r="H104" s="3" t="s">
        <v>49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149</v>
      </c>
      <c r="D105" s="16"/>
      <c r="E105" s="8"/>
      <c r="F105" s="8"/>
      <c r="H105" s="3" t="s">
        <v>49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C106" s="51" t="s">
        <v>150</v>
      </c>
      <c r="D106" s="16"/>
      <c r="E106" s="8"/>
      <c r="F106" s="8"/>
      <c r="H106" s="3" t="s">
        <v>49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B107" s="54" t="s">
        <v>151</v>
      </c>
      <c r="C107" s="51" t="s">
        <v>152</v>
      </c>
      <c r="D107" s="16"/>
      <c r="E107" s="8"/>
      <c r="F107" s="8"/>
      <c r="H107" s="3" t="s">
        <v>49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153</v>
      </c>
      <c r="D108" s="16"/>
      <c r="E108" s="8"/>
      <c r="F108" s="8"/>
      <c r="H108" s="3" t="s">
        <v>49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107</v>
      </c>
      <c r="C109" s="51" t="s">
        <v>154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155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155</v>
      </c>
    </row>
    <row r="111" spans="1:28" s="40" customFormat="1" x14ac:dyDescent="0.25">
      <c r="A111" s="39"/>
      <c r="B111" s="2"/>
      <c r="C111" s="50" t="s">
        <v>156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156</v>
      </c>
    </row>
    <row r="112" spans="1:28" x14ac:dyDescent="0.25">
      <c r="A112" s="1" t="s">
        <v>83</v>
      </c>
      <c r="B112" s="40" t="s">
        <v>157</v>
      </c>
      <c r="C112" s="57" t="s">
        <v>158</v>
      </c>
      <c r="D112" s="16">
        <f>+'[4]Plantilla Ejecución  '!$B$28</f>
        <v>1392100.22</v>
      </c>
      <c r="E112" s="8"/>
      <c r="F112" s="8"/>
      <c r="H112" s="3" t="s">
        <v>49</v>
      </c>
      <c r="I112" s="3" t="str">
        <f>+C112</f>
        <v>Alimentos y bebidas para personas</v>
      </c>
      <c r="J112" s="7">
        <f>+D112</f>
        <v>1392100.22</v>
      </c>
      <c r="M112" s="7">
        <f t="shared" si="10"/>
        <v>0</v>
      </c>
      <c r="N112" s="8">
        <f t="shared" si="18"/>
        <v>1392100.22</v>
      </c>
      <c r="O112" s="7">
        <f t="shared" si="9"/>
        <v>-1392100.22</v>
      </c>
      <c r="P112" s="7">
        <f t="shared" si="21"/>
        <v>-1392100.22</v>
      </c>
      <c r="S112" s="7">
        <f t="shared" si="19"/>
        <v>-1392100.22</v>
      </c>
      <c r="U112" s="7"/>
      <c r="V112" s="7"/>
      <c r="W112" s="7">
        <f>N112</f>
        <v>1392100.22</v>
      </c>
      <c r="Y112" s="7">
        <f t="shared" si="14"/>
        <v>2784200.44</v>
      </c>
      <c r="AA112" s="22" t="b">
        <f t="shared" si="24"/>
        <v>1</v>
      </c>
      <c r="AB112" s="57" t="s">
        <v>158</v>
      </c>
    </row>
    <row r="113" spans="1:28" x14ac:dyDescent="0.25">
      <c r="A113" s="1" t="s">
        <v>159</v>
      </c>
      <c r="B113" s="40" t="s">
        <v>160</v>
      </c>
      <c r="C113" s="57" t="s">
        <v>161</v>
      </c>
      <c r="D113" s="16"/>
      <c r="E113" s="8"/>
      <c r="F113" s="8"/>
      <c r="H113" s="3" t="s">
        <v>49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161</v>
      </c>
    </row>
    <row r="114" spans="1:28" s="40" customFormat="1" x14ac:dyDescent="0.25">
      <c r="A114" s="39"/>
      <c r="C114" s="50" t="s">
        <v>162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162</v>
      </c>
    </row>
    <row r="115" spans="1:28" x14ac:dyDescent="0.25">
      <c r="A115" s="1" t="s">
        <v>159</v>
      </c>
      <c r="B115" s="40" t="s">
        <v>163</v>
      </c>
      <c r="C115" s="57" t="s">
        <v>164</v>
      </c>
      <c r="D115" s="58"/>
      <c r="E115" s="8"/>
      <c r="F115" s="8"/>
      <c r="H115" s="3" t="s">
        <v>49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164</v>
      </c>
    </row>
    <row r="116" spans="1:28" x14ac:dyDescent="0.25">
      <c r="A116" s="1" t="s">
        <v>159</v>
      </c>
      <c r="B116" s="40" t="s">
        <v>165</v>
      </c>
      <c r="C116" s="57" t="s">
        <v>166</v>
      </c>
      <c r="D116" s="16"/>
      <c r="E116" s="8"/>
      <c r="F116" s="8"/>
      <c r="H116" s="3" t="s">
        <v>49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166</v>
      </c>
    </row>
    <row r="117" spans="1:28" x14ac:dyDescent="0.25">
      <c r="A117" s="1" t="s">
        <v>83</v>
      </c>
      <c r="B117" s="40" t="s">
        <v>167</v>
      </c>
      <c r="C117" s="57" t="s">
        <v>168</v>
      </c>
      <c r="D117" s="16"/>
      <c r="E117" s="8"/>
      <c r="F117" s="8"/>
      <c r="H117" s="3" t="s">
        <v>49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168</v>
      </c>
    </row>
    <row r="118" spans="1:28" s="40" customFormat="1" x14ac:dyDescent="0.25">
      <c r="A118" s="39"/>
      <c r="C118" s="50" t="s">
        <v>169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169</v>
      </c>
    </row>
    <row r="119" spans="1:28" x14ac:dyDescent="0.25">
      <c r="A119" s="1" t="s">
        <v>159</v>
      </c>
      <c r="B119" s="40" t="s">
        <v>170</v>
      </c>
      <c r="C119" s="57" t="s">
        <v>171</v>
      </c>
      <c r="D119" s="16"/>
      <c r="E119" s="8"/>
      <c r="F119" s="8"/>
      <c r="H119" s="3" t="s">
        <v>49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171</v>
      </c>
    </row>
    <row r="120" spans="1:28" x14ac:dyDescent="0.25">
      <c r="A120" s="1" t="s">
        <v>159</v>
      </c>
      <c r="B120" s="40" t="s">
        <v>172</v>
      </c>
      <c r="C120" s="57" t="s">
        <v>173</v>
      </c>
      <c r="D120" s="16"/>
      <c r="E120" s="8"/>
      <c r="F120" s="8"/>
      <c r="H120" s="3" t="s">
        <v>49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173</v>
      </c>
    </row>
    <row r="121" spans="1:28" x14ac:dyDescent="0.25">
      <c r="A121" s="1" t="s">
        <v>159</v>
      </c>
      <c r="B121" s="40" t="s">
        <v>174</v>
      </c>
      <c r="C121" s="57" t="s">
        <v>175</v>
      </c>
      <c r="D121" s="16"/>
      <c r="E121" s="8"/>
      <c r="F121" s="8"/>
      <c r="H121" s="3" t="s">
        <v>49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175</v>
      </c>
    </row>
    <row r="122" spans="1:28" x14ac:dyDescent="0.25">
      <c r="A122" s="1" t="s">
        <v>83</v>
      </c>
      <c r="B122" s="40" t="s">
        <v>176</v>
      </c>
      <c r="C122" s="57" t="s">
        <v>177</v>
      </c>
      <c r="D122" s="16"/>
      <c r="E122" s="8"/>
      <c r="F122" s="8"/>
      <c r="H122" s="3" t="s">
        <v>49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177</v>
      </c>
    </row>
    <row r="123" spans="1:28" s="40" customFormat="1" x14ac:dyDescent="0.25">
      <c r="A123" s="39"/>
      <c r="C123" s="50" t="s">
        <v>178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178</v>
      </c>
    </row>
    <row r="124" spans="1:28" x14ac:dyDescent="0.25">
      <c r="A124" s="1" t="s">
        <v>159</v>
      </c>
      <c r="B124" s="40" t="s">
        <v>179</v>
      </c>
      <c r="C124" s="57" t="s">
        <v>180</v>
      </c>
      <c r="D124" s="16"/>
      <c r="E124" s="8"/>
      <c r="F124" s="8"/>
      <c r="H124" s="3" t="s">
        <v>49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180</v>
      </c>
    </row>
    <row r="125" spans="1:28" x14ac:dyDescent="0.25">
      <c r="A125" s="1" t="s">
        <v>159</v>
      </c>
      <c r="B125" s="40" t="e">
        <v>#N/A</v>
      </c>
      <c r="C125" s="57" t="s">
        <v>181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181</v>
      </c>
    </row>
    <row r="126" spans="1:28" x14ac:dyDescent="0.25">
      <c r="A126" s="1" t="s">
        <v>159</v>
      </c>
      <c r="B126" s="40" t="s">
        <v>182</v>
      </c>
      <c r="C126" s="57" t="s">
        <v>183</v>
      </c>
      <c r="D126" s="16"/>
      <c r="E126" s="8"/>
      <c r="F126" s="8"/>
      <c r="H126" s="3" t="s">
        <v>49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183</v>
      </c>
    </row>
    <row r="127" spans="1:28" x14ac:dyDescent="0.25">
      <c r="A127" s="1" t="s">
        <v>159</v>
      </c>
      <c r="B127" s="40" t="s">
        <v>184</v>
      </c>
      <c r="C127" s="57" t="s">
        <v>185</v>
      </c>
      <c r="D127" s="16"/>
      <c r="E127" s="8"/>
      <c r="F127" s="8"/>
      <c r="H127" s="3" t="s">
        <v>49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185</v>
      </c>
    </row>
    <row r="128" spans="1:28" x14ac:dyDescent="0.25">
      <c r="A128" s="1" t="s">
        <v>159</v>
      </c>
      <c r="B128" s="40" t="s">
        <v>186</v>
      </c>
      <c r="C128" s="57" t="s">
        <v>187</v>
      </c>
      <c r="D128" s="16"/>
      <c r="E128" s="8"/>
      <c r="F128" s="8"/>
      <c r="H128" s="3" t="s">
        <v>49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187</v>
      </c>
    </row>
    <row r="129" spans="1:28" s="40" customFormat="1" x14ac:dyDescent="0.25">
      <c r="A129" s="39"/>
      <c r="C129" s="50" t="s">
        <v>188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188</v>
      </c>
    </row>
    <row r="130" spans="1:28" x14ac:dyDescent="0.25">
      <c r="A130" s="1" t="s">
        <v>159</v>
      </c>
      <c r="B130" s="40" t="s">
        <v>189</v>
      </c>
      <c r="C130" s="57" t="s">
        <v>190</v>
      </c>
      <c r="D130" s="16"/>
      <c r="E130" s="8"/>
      <c r="F130" s="8"/>
      <c r="H130" s="3" t="s">
        <v>49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190</v>
      </c>
    </row>
    <row r="131" spans="1:28" x14ac:dyDescent="0.25">
      <c r="A131" s="1" t="s">
        <v>159</v>
      </c>
      <c r="B131" s="40" t="s">
        <v>191</v>
      </c>
      <c r="C131" s="57" t="s">
        <v>192</v>
      </c>
      <c r="D131" s="16"/>
      <c r="E131" s="8"/>
      <c r="F131" s="8"/>
      <c r="H131" s="3" t="s">
        <v>49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192</v>
      </c>
    </row>
    <row r="132" spans="1:28" x14ac:dyDescent="0.25">
      <c r="A132" s="1" t="s">
        <v>159</v>
      </c>
      <c r="B132" s="40" t="s">
        <v>193</v>
      </c>
      <c r="C132" s="57" t="s">
        <v>194</v>
      </c>
      <c r="D132" s="16"/>
      <c r="E132" s="8"/>
      <c r="F132" s="8"/>
      <c r="H132" s="3" t="s">
        <v>49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194</v>
      </c>
    </row>
    <row r="133" spans="1:28" x14ac:dyDescent="0.25">
      <c r="A133" s="1" t="s">
        <v>159</v>
      </c>
      <c r="B133" s="40" t="s">
        <v>195</v>
      </c>
      <c r="C133" s="57" t="s">
        <v>196</v>
      </c>
      <c r="D133" s="16"/>
      <c r="E133" s="8"/>
      <c r="F133" s="8"/>
      <c r="H133" s="3" t="s">
        <v>49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196</v>
      </c>
    </row>
    <row r="134" spans="1:28" x14ac:dyDescent="0.25">
      <c r="A134" s="1" t="s">
        <v>159</v>
      </c>
      <c r="B134" s="40" t="s">
        <v>197</v>
      </c>
      <c r="C134" s="57" t="s">
        <v>198</v>
      </c>
      <c r="D134" s="16"/>
      <c r="E134" s="8"/>
      <c r="F134" s="8"/>
      <c r="H134" s="3" t="s">
        <v>49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198</v>
      </c>
    </row>
    <row r="135" spans="1:28" x14ac:dyDescent="0.25">
      <c r="A135" s="1" t="s">
        <v>159</v>
      </c>
      <c r="B135" s="40" t="e">
        <v>#N/A</v>
      </c>
      <c r="C135" s="57" t="s">
        <v>199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199</v>
      </c>
    </row>
    <row r="136" spans="1:28" x14ac:dyDescent="0.25">
      <c r="A136" s="1" t="s">
        <v>159</v>
      </c>
      <c r="B136" s="40" t="e">
        <v>#N/A</v>
      </c>
      <c r="C136" s="57" t="s">
        <v>200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200</v>
      </c>
    </row>
    <row r="137" spans="1:28" x14ac:dyDescent="0.25">
      <c r="A137" s="1" t="s">
        <v>159</v>
      </c>
      <c r="B137" s="40" t="s">
        <v>201</v>
      </c>
      <c r="C137" s="57" t="s">
        <v>202</v>
      </c>
      <c r="D137" s="16"/>
      <c r="E137" s="8"/>
      <c r="F137" s="8"/>
      <c r="H137" s="3" t="s">
        <v>49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202</v>
      </c>
    </row>
    <row r="138" spans="1:28" x14ac:dyDescent="0.25">
      <c r="A138" s="1" t="s">
        <v>159</v>
      </c>
      <c r="B138" s="40" t="e">
        <v>#N/A</v>
      </c>
      <c r="C138" s="57" t="s">
        <v>203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203</v>
      </c>
    </row>
    <row r="139" spans="1:28" s="40" customFormat="1" x14ac:dyDescent="0.25">
      <c r="A139" s="39"/>
      <c r="C139" s="50" t="s">
        <v>204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204</v>
      </c>
    </row>
    <row r="140" spans="1:28" x14ac:dyDescent="0.25">
      <c r="A140" s="1" t="s">
        <v>159</v>
      </c>
      <c r="B140" s="40" t="s">
        <v>205</v>
      </c>
      <c r="C140" s="57" t="s">
        <v>206</v>
      </c>
      <c r="D140" s="16"/>
      <c r="E140" s="8"/>
      <c r="F140" s="8"/>
      <c r="H140" s="3" t="s">
        <v>49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206</v>
      </c>
    </row>
    <row r="141" spans="1:28" x14ac:dyDescent="0.25">
      <c r="A141" s="1" t="s">
        <v>159</v>
      </c>
      <c r="B141" s="40" t="s">
        <v>207</v>
      </c>
      <c r="C141" s="57" t="s">
        <v>208</v>
      </c>
      <c r="D141" s="16"/>
      <c r="E141" s="8"/>
      <c r="F141" s="8"/>
      <c r="H141" s="3" t="s">
        <v>49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208</v>
      </c>
    </row>
    <row r="142" spans="1:28" x14ac:dyDescent="0.25">
      <c r="A142" s="1" t="s">
        <v>159</v>
      </c>
      <c r="B142" s="40"/>
      <c r="C142" s="57" t="s">
        <v>401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159</v>
      </c>
      <c r="B143" s="40" t="e">
        <v>#N/A</v>
      </c>
      <c r="C143" s="57" t="s">
        <v>209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209</v>
      </c>
    </row>
    <row r="144" spans="1:28" x14ac:dyDescent="0.25">
      <c r="A144" s="1" t="s">
        <v>159</v>
      </c>
      <c r="B144" s="40" t="s">
        <v>210</v>
      </c>
      <c r="C144" s="57" t="s">
        <v>211</v>
      </c>
      <c r="D144" s="16"/>
      <c r="E144" s="8"/>
      <c r="F144" s="8"/>
      <c r="H144" s="3" t="s">
        <v>49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211</v>
      </c>
    </row>
    <row r="145" spans="1:28" x14ac:dyDescent="0.25">
      <c r="A145" s="1" t="s">
        <v>159</v>
      </c>
      <c r="B145" s="40" t="s">
        <v>212</v>
      </c>
      <c r="C145" s="57" t="s">
        <v>213</v>
      </c>
      <c r="D145" s="16"/>
      <c r="E145" s="8"/>
      <c r="F145" s="8"/>
      <c r="H145" s="3" t="s">
        <v>49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213</v>
      </c>
    </row>
    <row r="146" spans="1:28" x14ac:dyDescent="0.25">
      <c r="A146" s="1" t="s">
        <v>159</v>
      </c>
      <c r="B146" s="40" t="s">
        <v>214</v>
      </c>
      <c r="C146" s="57" t="s">
        <v>215</v>
      </c>
      <c r="D146" s="16"/>
      <c r="E146" s="8"/>
      <c r="F146" s="8"/>
      <c r="H146" s="3" t="s">
        <v>49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215</v>
      </c>
    </row>
    <row r="147" spans="1:28" s="40" customFormat="1" x14ac:dyDescent="0.25">
      <c r="A147" s="39"/>
      <c r="C147" s="50" t="s">
        <v>216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216</v>
      </c>
    </row>
    <row r="148" spans="1:28" x14ac:dyDescent="0.25">
      <c r="A148" s="1" t="s">
        <v>159</v>
      </c>
      <c r="B148" s="40" t="s">
        <v>217</v>
      </c>
      <c r="C148" s="57" t="s">
        <v>218</v>
      </c>
      <c r="D148" s="16"/>
      <c r="E148" s="8"/>
      <c r="F148" s="8"/>
      <c r="H148" s="3" t="s">
        <v>49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218</v>
      </c>
    </row>
    <row r="149" spans="1:28" x14ac:dyDescent="0.25">
      <c r="A149" s="1" t="s">
        <v>159</v>
      </c>
      <c r="B149" s="40" t="s">
        <v>219</v>
      </c>
      <c r="C149" s="57" t="s">
        <v>220</v>
      </c>
      <c r="D149" s="16"/>
      <c r="E149" s="8"/>
      <c r="F149" s="8"/>
      <c r="H149" s="3" t="s">
        <v>49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220</v>
      </c>
    </row>
    <row r="150" spans="1:28" x14ac:dyDescent="0.25">
      <c r="A150" s="1" t="s">
        <v>159</v>
      </c>
      <c r="B150" s="40" t="s">
        <v>221</v>
      </c>
      <c r="C150" s="57" t="s">
        <v>222</v>
      </c>
      <c r="D150" s="16"/>
      <c r="E150" s="8"/>
      <c r="F150" s="8"/>
      <c r="H150" s="3" t="s">
        <v>49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222</v>
      </c>
    </row>
    <row r="151" spans="1:28" x14ac:dyDescent="0.25">
      <c r="A151" s="1" t="s">
        <v>159</v>
      </c>
      <c r="B151" s="40"/>
      <c r="C151" s="57" t="s">
        <v>223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224</v>
      </c>
      <c r="C152" s="57" t="s">
        <v>223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223</v>
      </c>
    </row>
    <row r="153" spans="1:28" x14ac:dyDescent="0.25">
      <c r="A153" s="1" t="s">
        <v>159</v>
      </c>
      <c r="B153" s="40" t="s">
        <v>225</v>
      </c>
      <c r="C153" s="57" t="s">
        <v>226</v>
      </c>
      <c r="D153" s="16"/>
      <c r="E153" s="8"/>
      <c r="F153" s="8"/>
      <c r="H153" s="3" t="s">
        <v>49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226</v>
      </c>
    </row>
    <row r="154" spans="1:28" x14ac:dyDescent="0.25">
      <c r="A154" s="1" t="s">
        <v>159</v>
      </c>
      <c r="B154" s="40" t="s">
        <v>227</v>
      </c>
      <c r="C154" s="57" t="s">
        <v>228</v>
      </c>
      <c r="D154" s="16"/>
      <c r="E154" s="8"/>
      <c r="F154" s="8"/>
      <c r="H154" s="3" t="s">
        <v>49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228</v>
      </c>
    </row>
    <row r="155" spans="1:28" x14ac:dyDescent="0.25">
      <c r="A155" s="1" t="s">
        <v>159</v>
      </c>
      <c r="B155" s="40" t="s">
        <v>229</v>
      </c>
      <c r="C155" s="57" t="s">
        <v>230</v>
      </c>
      <c r="D155" s="16"/>
      <c r="E155" s="8"/>
      <c r="F155" s="8"/>
      <c r="H155" s="3" t="s">
        <v>49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230</v>
      </c>
    </row>
    <row r="156" spans="1:28" x14ac:dyDescent="0.25">
      <c r="A156" s="1" t="s">
        <v>159</v>
      </c>
      <c r="B156" s="40" t="s">
        <v>231</v>
      </c>
      <c r="C156" s="57" t="s">
        <v>232</v>
      </c>
      <c r="D156" s="16"/>
      <c r="E156" s="8"/>
      <c r="F156" s="8"/>
      <c r="H156" s="3" t="s">
        <v>49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233</v>
      </c>
    </row>
    <row r="157" spans="1:28" x14ac:dyDescent="0.25">
      <c r="A157" s="1" t="s">
        <v>83</v>
      </c>
      <c r="B157" s="40" t="s">
        <v>234</v>
      </c>
      <c r="C157" s="57" t="s">
        <v>235</v>
      </c>
      <c r="D157" s="16"/>
      <c r="E157" s="8"/>
      <c r="F157" s="8"/>
      <c r="H157" s="3" t="s">
        <v>49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235</v>
      </c>
    </row>
    <row r="158" spans="1:28" s="40" customFormat="1" x14ac:dyDescent="0.25">
      <c r="A158" s="39"/>
      <c r="B158" s="2"/>
      <c r="C158" s="59" t="s">
        <v>236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159</v>
      </c>
      <c r="B159" s="61" t="s">
        <v>237</v>
      </c>
      <c r="C159" s="57" t="s">
        <v>238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238</v>
      </c>
    </row>
    <row r="160" spans="1:28" x14ac:dyDescent="0.25">
      <c r="A160" s="1" t="s">
        <v>159</v>
      </c>
      <c r="B160" s="61" t="s">
        <v>239</v>
      </c>
      <c r="C160" s="57" t="s">
        <v>240</v>
      </c>
      <c r="D160" s="16"/>
      <c r="E160" s="8"/>
      <c r="F160" s="8"/>
      <c r="H160" s="3" t="s">
        <v>49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240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107</v>
      </c>
      <c r="C162" s="3" t="s">
        <v>241</v>
      </c>
      <c r="D162" s="16"/>
      <c r="E162" s="8"/>
      <c r="F162" s="8"/>
      <c r="H162" s="3" t="s">
        <v>49</v>
      </c>
      <c r="I162" s="3" t="s">
        <v>241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242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243</v>
      </c>
      <c r="B164" s="54" t="s">
        <v>244</v>
      </c>
      <c r="C164" s="3" t="s">
        <v>245</v>
      </c>
      <c r="D164" s="16"/>
      <c r="E164" s="8"/>
      <c r="F164" s="8"/>
      <c r="H164" s="3" t="s">
        <v>49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83</v>
      </c>
      <c r="B165" s="54" t="s">
        <v>246</v>
      </c>
      <c r="C165" s="3" t="s">
        <v>247</v>
      </c>
      <c r="D165" s="16"/>
      <c r="E165" s="8"/>
      <c r="F165" s="8"/>
      <c r="H165" s="3" t="s">
        <v>49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83</v>
      </c>
      <c r="B166" s="54" t="s">
        <v>248</v>
      </c>
      <c r="C166" s="3" t="s">
        <v>249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243</v>
      </c>
      <c r="B167" s="54" t="s">
        <v>250</v>
      </c>
      <c r="C167" s="3" t="s">
        <v>402</v>
      </c>
      <c r="D167" s="16"/>
      <c r="E167" s="8"/>
      <c r="F167" s="8"/>
      <c r="H167" s="3" t="s">
        <v>49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251</v>
      </c>
      <c r="B168" s="63"/>
      <c r="C168" s="64" t="s">
        <v>252</v>
      </c>
      <c r="D168" s="16">
        <v>2143527.0299999998</v>
      </c>
      <c r="E168" s="8"/>
      <c r="F168" s="8"/>
      <c r="I168" s="3" t="str">
        <f t="shared" si="39"/>
        <v>Gasto de depreciación</v>
      </c>
      <c r="J168" s="7">
        <f t="shared" si="39"/>
        <v>2143527.0299999998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251</v>
      </c>
      <c r="B169" s="63"/>
      <c r="C169" s="64" t="s">
        <v>253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107</v>
      </c>
      <c r="C170" s="3" t="s">
        <v>254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12723645.670000002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255</v>
      </c>
      <c r="D172" s="65"/>
      <c r="E172" s="8"/>
      <c r="F172" s="8"/>
      <c r="G172" s="66"/>
      <c r="I172" s="40" t="s">
        <v>256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257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167663801.69999993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1" zoomScaleSheetLayoutView="100" workbookViewId="0">
      <selection activeCell="F8" sqref="F8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2" t="str">
        <f>'[5] ERF-Rendimiento Financiero'!C3</f>
        <v>Estado de Rendimiento Financiero</v>
      </c>
      <c r="D1" s="192"/>
      <c r="E1" s="192"/>
      <c r="F1" s="192"/>
      <c r="G1" s="192"/>
      <c r="H1" s="192"/>
    </row>
    <row r="2" spans="1:13" ht="15" customHeight="1" x14ac:dyDescent="0.25">
      <c r="C2" s="190" t="s">
        <v>409</v>
      </c>
      <c r="D2" s="190"/>
      <c r="E2" s="190"/>
      <c r="F2" s="190"/>
      <c r="G2" s="190"/>
      <c r="H2" s="71"/>
    </row>
    <row r="3" spans="1:13" ht="15" customHeight="1" x14ac:dyDescent="0.25">
      <c r="C3" s="190" t="str">
        <f>'[5] ERF-Rendimiento Financiero'!C5</f>
        <v>(Valores en RD$)</v>
      </c>
      <c r="D3" s="190"/>
      <c r="E3" s="190"/>
      <c r="F3" s="190"/>
      <c r="G3" s="190"/>
      <c r="H3" s="190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Comprobación'!D41</f>
        <v>450000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Comprobación'!D42</f>
        <v>18068248.559999999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Comprobación'!D44</f>
        <v>55000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18573248.559999999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0">
        <f>+'BC Balance Comprobación'!D49+'BC Balance Comprobación'!D50+'BC Balance Comprobación'!D51+'BC Balance Comprobación'!D57+'BC Balance Comprobación'!D58+'BC Balance Comprobación'!D63+'BC Balance Comprobación'!D64+'BC Balance Comprobación'!D65</f>
        <v>11331545.450000001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0">
        <f>+'BC Balance Comprobación'!D68</f>
        <v>1980013.5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0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1392100.22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0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Comprobación'!D168</f>
        <v>2143527.0299999998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16847186.200000003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1726062.3599999957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3"/>
      <c r="D36" s="193"/>
      <c r="E36" s="193"/>
      <c r="F36" s="193"/>
      <c r="G36" s="193"/>
      <c r="H36" s="193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4" t="s">
        <v>283</v>
      </c>
      <c r="D43" s="194"/>
      <c r="E43" s="194"/>
      <c r="F43" s="194"/>
      <c r="G43" s="194"/>
      <c r="H43" s="194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4"/>
      <c r="D46" s="194"/>
      <c r="E46" s="194"/>
      <c r="F46" s="194"/>
      <c r="G46" s="194"/>
      <c r="H46" s="94"/>
    </row>
    <row r="47" spans="1:11" ht="18.75" x14ac:dyDescent="0.25">
      <c r="C47" s="190" t="s">
        <v>284</v>
      </c>
      <c r="D47" s="190"/>
      <c r="E47" s="190"/>
      <c r="F47" s="190"/>
      <c r="G47" s="71"/>
      <c r="H47" s="93"/>
    </row>
    <row r="48" spans="1:11" x14ac:dyDescent="0.25">
      <c r="C48" s="191" t="s">
        <v>285</v>
      </c>
      <c r="D48" s="191"/>
      <c r="E48" s="191"/>
      <c r="F48" s="191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E24" sqref="E24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7"/>
      <c r="C2" s="197"/>
      <c r="D2" s="197"/>
      <c r="E2" s="197"/>
      <c r="F2" s="197"/>
      <c r="G2" s="197"/>
      <c r="H2" s="197"/>
    </row>
    <row r="3" spans="1:13" ht="18.75" x14ac:dyDescent="0.25">
      <c r="B3" s="197" t="s">
        <v>336</v>
      </c>
      <c r="C3" s="197"/>
      <c r="D3" s="197"/>
      <c r="E3" s="197"/>
      <c r="F3" s="197"/>
      <c r="G3" s="197"/>
      <c r="H3" s="197"/>
    </row>
    <row r="4" spans="1:13" ht="18.75" x14ac:dyDescent="0.25">
      <c r="B4" s="197" t="s">
        <v>409</v>
      </c>
      <c r="C4" s="197"/>
      <c r="D4" s="197"/>
      <c r="E4" s="197"/>
      <c r="F4" s="197"/>
      <c r="G4" s="197"/>
      <c r="H4" s="197"/>
    </row>
    <row r="5" spans="1:13" ht="18.75" x14ac:dyDescent="0.25">
      <c r="B5" s="197" t="s">
        <v>7</v>
      </c>
      <c r="C5" s="197"/>
      <c r="D5" s="197"/>
      <c r="E5" s="197"/>
      <c r="F5" s="197"/>
      <c r="G5" s="197"/>
      <c r="H5" s="197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408</v>
      </c>
      <c r="D8" s="181">
        <v>51695326</v>
      </c>
      <c r="E8" s="178">
        <v>0</v>
      </c>
      <c r="F8" s="178">
        <v>0</v>
      </c>
      <c r="G8" s="181">
        <v>16599055</v>
      </c>
      <c r="H8" s="181">
        <f>+D8+G8</f>
        <v>68294381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82">
        <v>27966261</v>
      </c>
      <c r="H11" s="182">
        <v>27966261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82">
        <v>6025026</v>
      </c>
      <c r="H12" s="182">
        <v>6025026</v>
      </c>
      <c r="I12" s="78"/>
    </row>
    <row r="13" spans="1:13" ht="18.75" x14ac:dyDescent="0.3">
      <c r="B13" s="93"/>
      <c r="C13" s="164" t="s">
        <v>407</v>
      </c>
      <c r="D13" s="181">
        <f>SUM(D8:D12)</f>
        <v>51695326</v>
      </c>
      <c r="E13" s="178">
        <f>SUM(E8:E12)</f>
        <v>0</v>
      </c>
      <c r="F13" s="178">
        <f>SUM(F8:F12)</f>
        <v>0</v>
      </c>
      <c r="G13" s="181">
        <f>SUM(G8:G12)</f>
        <v>50590342</v>
      </c>
      <c r="H13" s="181">
        <f>SUM(H8:H12)</f>
        <v>102285668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37.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82">
        <v>-1731124.4400000125</v>
      </c>
      <c r="H18" s="182">
        <v>-1731124.4400000125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82">
        <f>+' ERF-Rendimiento Financiero'!F29</f>
        <v>1726062.3599999957</v>
      </c>
      <c r="H19" s="182">
        <f>SUM(D19,E19,F19,G19)</f>
        <v>1726062.3599999957</v>
      </c>
      <c r="I19" s="154"/>
      <c r="J19" s="117"/>
      <c r="K19" s="163"/>
      <c r="L19" s="163"/>
    </row>
    <row r="20" spans="1:14" ht="18.75" x14ac:dyDescent="0.25">
      <c r="B20" s="95"/>
      <c r="C20" s="164" t="s">
        <v>413</v>
      </c>
      <c r="D20" s="181">
        <f>D14+D18</f>
        <v>51695326</v>
      </c>
      <c r="E20" s="179">
        <f>SUM(E19,E13)</f>
        <v>0</v>
      </c>
      <c r="F20" s="179">
        <f>SUM(F19,F13)</f>
        <v>0</v>
      </c>
      <c r="G20" s="181">
        <f>G13+G15+G16+G17+G18+G19</f>
        <v>50585279.919999987</v>
      </c>
      <c r="H20" s="181">
        <f>H13+H15+H16+H17+H18+H19</f>
        <v>102280605.91999999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6" t="s">
        <v>283</v>
      </c>
      <c r="D26" s="196"/>
      <c r="E26" s="196"/>
      <c r="F26" s="196"/>
      <c r="G26" s="196"/>
      <c r="H26" s="196"/>
    </row>
    <row r="27" spans="1:14" ht="18.75" x14ac:dyDescent="0.25">
      <c r="A27" s="197" t="s">
        <v>284</v>
      </c>
      <c r="B27" s="197"/>
      <c r="C27" s="197"/>
      <c r="D27" s="197"/>
      <c r="E27" s="197"/>
      <c r="F27" s="197"/>
      <c r="G27" s="197"/>
      <c r="H27" s="197"/>
      <c r="I27" s="197"/>
    </row>
    <row r="28" spans="1:14" ht="18.75" x14ac:dyDescent="0.25">
      <c r="A28" s="195" t="s">
        <v>285</v>
      </c>
      <c r="B28" s="195"/>
      <c r="C28" s="195"/>
      <c r="D28" s="195"/>
      <c r="E28" s="195"/>
      <c r="F28" s="195"/>
      <c r="G28" s="195"/>
      <c r="H28" s="195"/>
      <c r="I28" s="195"/>
    </row>
    <row r="29" spans="1:14" ht="18.75" hidden="1" x14ac:dyDescent="0.3">
      <c r="B29" s="93"/>
      <c r="C29" s="196" t="s">
        <v>347</v>
      </c>
      <c r="D29" s="196"/>
      <c r="E29" s="113"/>
      <c r="F29" s="113"/>
      <c r="G29" s="196" t="s">
        <v>348</v>
      </c>
      <c r="H29" s="196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60" workbookViewId="0">
      <selection activeCell="R27" sqref="R27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9" t="str">
        <f>'[6]Flujo de Efectivo'!A2</f>
        <v>Estado de Flujo de Efectivo</v>
      </c>
      <c r="B1" s="197"/>
      <c r="C1" s="199"/>
      <c r="D1" s="197"/>
      <c r="E1" s="197"/>
      <c r="F1" s="93"/>
    </row>
    <row r="2" spans="1:17" x14ac:dyDescent="0.3">
      <c r="A2" s="199" t="s">
        <v>410</v>
      </c>
      <c r="B2" s="197"/>
      <c r="C2" s="199"/>
      <c r="D2" s="197"/>
      <c r="E2" s="197"/>
      <c r="F2" s="93"/>
    </row>
    <row r="3" spans="1:17" x14ac:dyDescent="0.3">
      <c r="A3" s="199" t="str">
        <f>'[6]Flujo de Efectivo'!A4</f>
        <v>(Valores en RD$)</v>
      </c>
      <c r="B3" s="197"/>
      <c r="C3" s="199"/>
      <c r="D3" s="197"/>
      <c r="E3" s="197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450000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450000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18068248.559999999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18068248.559999999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98732330.219999999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-84366626.930000007</v>
      </c>
    </row>
    <row r="14" spans="1:17" customFormat="1" x14ac:dyDescent="0.3">
      <c r="A14" s="111" t="s">
        <v>294</v>
      </c>
      <c r="B14" s="120"/>
      <c r="C14" s="109">
        <f>-'BC Balance Comprobación'!D44</f>
        <v>55000</v>
      </c>
      <c r="D14" s="121"/>
      <c r="E14" s="108">
        <f>'[2]BC Balance Comprobación'!M39</f>
        <v>0</v>
      </c>
      <c r="F14" s="113"/>
      <c r="G14" s="106"/>
      <c r="H14" s="106">
        <f t="shared" si="0"/>
        <v>55000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13546849.959999993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Comprobación'!D49-'BC Balance Comprobación'!D50-'BC Balance Comprobación'!D51-'BC Balance Comprobación'!D57-'BC Balance Comprobación'!D58</f>
        <v>-11331545.450000001</v>
      </c>
      <c r="D17" s="123"/>
      <c r="E17" s="96">
        <v>-83368429</v>
      </c>
      <c r="F17" s="93"/>
      <c r="G17" s="108">
        <v>-5376484.4800000004</v>
      </c>
      <c r="H17" s="78">
        <f t="shared" si="1"/>
        <v>-94699974.450000003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-52714503.510000005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Comprobación'!D68-'BC Balance Comprobación'!D112+245270.17</f>
        <v>-3126843.55</v>
      </c>
      <c r="D20" s="123"/>
      <c r="E20" s="96">
        <v>-60758429</v>
      </c>
      <c r="F20" s="93"/>
      <c r="G20" s="106">
        <v>-65427</v>
      </c>
      <c r="H20" s="78">
        <f t="shared" si="1"/>
        <v>-63885272.549999997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-27193730.030000001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4114859.5599999977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-157511810.44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/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4114859.5599999977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-168556744.62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23334633</v>
      </c>
      <c r="D62" s="150"/>
      <c r="E62" s="141">
        <v>5853191.9199999999</v>
      </c>
      <c r="F62" s="93"/>
      <c r="G62" s="141">
        <v>20979065.719999999</v>
      </c>
      <c r="H62" s="78">
        <f>+C62+E62</f>
        <v>29187824.920000002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27449492.559999999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-139368919.70000002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7" t="s">
        <v>284</v>
      </c>
      <c r="B67" s="197"/>
      <c r="C67" s="197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5" t="s">
        <v>285</v>
      </c>
      <c r="B68" s="195"/>
      <c r="C68" s="195"/>
      <c r="D68" s="93"/>
      <c r="E68" s="93"/>
      <c r="F68" s="93"/>
      <c r="I68" s="82"/>
    </row>
    <row r="69" spans="1:16" hidden="1" x14ac:dyDescent="0.25">
      <c r="A69" s="196" t="s">
        <v>335</v>
      </c>
      <c r="B69" s="196"/>
      <c r="C69" s="196"/>
      <c r="D69" s="196"/>
      <c r="E69" s="196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8"/>
      <c r="B72" s="196"/>
      <c r="C72" s="198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2025-03-11T17:43:13Z</cp:lastPrinted>
  <dcterms:created xsi:type="dcterms:W3CDTF">2022-05-09T16:29:53Z</dcterms:created>
  <dcterms:modified xsi:type="dcterms:W3CDTF">2025-03-14T17:43:48Z</dcterms:modified>
</cp:coreProperties>
</file>